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505"/>
  </bookViews>
  <sheets>
    <sheet name="Штатное расписание" sheetId="22" r:id="rId1"/>
    <sheet name="Расчет" sheetId="23" r:id="rId2"/>
  </sheets>
  <definedNames>
    <definedName name="_xlnm.Print_Area" localSheetId="0">'Штатное расписание'!$A$3:$P$29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2" l="1"/>
  <c r="E56" i="23" l="1"/>
  <c r="E55" i="23"/>
  <c r="E54" i="23"/>
  <c r="E53" i="23"/>
  <c r="E52" i="23"/>
  <c r="F17" i="23"/>
  <c r="F19" i="23"/>
  <c r="E15" i="23"/>
  <c r="E14" i="23"/>
  <c r="E13" i="23"/>
  <c r="E11" i="23"/>
  <c r="H17" i="23"/>
  <c r="E12" i="23"/>
  <c r="H21" i="23"/>
  <c r="E18" i="23"/>
  <c r="F11" i="23"/>
  <c r="H11" i="23" s="1"/>
  <c r="H22" i="23"/>
  <c r="F16" i="23"/>
  <c r="H16" i="23" s="1"/>
  <c r="E57" i="23" l="1"/>
  <c r="F18" i="22"/>
  <c r="S13" i="22" l="1"/>
  <c r="E18" i="22"/>
  <c r="K18" i="22" l="1"/>
  <c r="G18" i="22"/>
  <c r="L18" i="22" l="1"/>
  <c r="N18" i="22" s="1"/>
  <c r="O18" i="22" s="1"/>
  <c r="P18" i="22" s="1"/>
  <c r="R18" i="22" s="1"/>
  <c r="F23" i="22"/>
  <c r="D23" i="22"/>
  <c r="E23" i="22" s="1"/>
  <c r="J26" i="22"/>
  <c r="I26" i="22" l="1"/>
  <c r="G23" i="22"/>
  <c r="Q18" i="22"/>
  <c r="K23" i="22"/>
  <c r="F19" i="22"/>
  <c r="E19" i="22"/>
  <c r="G19" i="22" s="1"/>
  <c r="F16" i="22"/>
  <c r="E16" i="22"/>
  <c r="G16" i="22" s="1"/>
  <c r="F14" i="22"/>
  <c r="E14" i="22"/>
  <c r="G14" i="22" s="1"/>
  <c r="L23" i="22" l="1"/>
  <c r="N23" i="22" s="1"/>
  <c r="O23" i="22" s="1"/>
  <c r="P23" i="22" s="1"/>
  <c r="R23" i="22" s="1"/>
  <c r="K19" i="22"/>
  <c r="L14" i="22"/>
  <c r="F25" i="22"/>
  <c r="D25" i="22"/>
  <c r="E25" i="22" s="1"/>
  <c r="F24" i="22"/>
  <c r="D24" i="22"/>
  <c r="E24" i="22" s="1"/>
  <c r="F22" i="22"/>
  <c r="D22" i="22"/>
  <c r="E22" i="22" s="1"/>
  <c r="F21" i="22"/>
  <c r="D21" i="22"/>
  <c r="E21" i="22" s="1"/>
  <c r="F20" i="22"/>
  <c r="D20" i="22"/>
  <c r="E20" i="22" s="1"/>
  <c r="F17" i="22"/>
  <c r="E17" i="22"/>
  <c r="F15" i="22"/>
  <c r="E15" i="22"/>
  <c r="F13" i="22"/>
  <c r="D26" i="22"/>
  <c r="G15" i="22" l="1"/>
  <c r="G17" i="22"/>
  <c r="G20" i="22"/>
  <c r="H21" i="22"/>
  <c r="G21" i="22"/>
  <c r="H22" i="22"/>
  <c r="G22" i="22"/>
  <c r="H25" i="22"/>
  <c r="G25" i="22"/>
  <c r="H24" i="22"/>
  <c r="H26" i="22" s="1"/>
  <c r="G24" i="22"/>
  <c r="Q23" i="22"/>
  <c r="L16" i="22"/>
  <c r="N16" i="22" s="1"/>
  <c r="O16" i="22" s="1"/>
  <c r="P16" i="22" s="1"/>
  <c r="R16" i="22" s="1"/>
  <c r="F26" i="22"/>
  <c r="E13" i="22"/>
  <c r="G13" i="22" s="1"/>
  <c r="L19" i="22"/>
  <c r="N19" i="22" s="1"/>
  <c r="N14" i="22"/>
  <c r="K21" i="22"/>
  <c r="K22" i="22"/>
  <c r="K20" i="22"/>
  <c r="K24" i="22"/>
  <c r="K25" i="22"/>
  <c r="L21" i="22" l="1"/>
  <c r="N21" i="22" s="1"/>
  <c r="L13" i="22"/>
  <c r="Q16" i="22"/>
  <c r="L22" i="22"/>
  <c r="N22" i="22" s="1"/>
  <c r="L25" i="22"/>
  <c r="N25" i="22" s="1"/>
  <c r="O25" i="22" s="1"/>
  <c r="P25" i="22" s="1"/>
  <c r="R25" i="22" s="1"/>
  <c r="E26" i="22"/>
  <c r="M26" i="22"/>
  <c r="L24" i="22"/>
  <c r="N24" i="22" s="1"/>
  <c r="O24" i="22" s="1"/>
  <c r="P24" i="22" s="1"/>
  <c r="R24" i="22" s="1"/>
  <c r="L17" i="22"/>
  <c r="N17" i="22" s="1"/>
  <c r="O17" i="22" s="1"/>
  <c r="P17" i="22" s="1"/>
  <c r="R17" i="22" s="1"/>
  <c r="L15" i="22"/>
  <c r="N15" i="22" s="1"/>
  <c r="O15" i="22" s="1"/>
  <c r="P15" i="22" s="1"/>
  <c r="R15" i="22" s="1"/>
  <c r="K26" i="22"/>
  <c r="L20" i="22"/>
  <c r="N20" i="22" s="1"/>
  <c r="O20" i="22" s="1"/>
  <c r="P20" i="22" s="1"/>
  <c r="R20" i="22" s="1"/>
  <c r="O19" i="22"/>
  <c r="P19" i="22" s="1"/>
  <c r="R19" i="22" s="1"/>
  <c r="O14" i="22"/>
  <c r="P14" i="22" s="1"/>
  <c r="R14" i="22" s="1"/>
  <c r="O21" i="22"/>
  <c r="P21" i="22" s="1"/>
  <c r="R21" i="22" s="1"/>
  <c r="Q20" i="22" l="1"/>
  <c r="Q19" i="22"/>
  <c r="Q17" i="22"/>
  <c r="G26" i="22"/>
  <c r="N13" i="22"/>
  <c r="N26" i="22" s="1"/>
  <c r="O22" i="22"/>
  <c r="Q14" i="22"/>
  <c r="Q24" i="22"/>
  <c r="Q25" i="22"/>
  <c r="Q21" i="22"/>
  <c r="Q15" i="22"/>
  <c r="L26" i="22" l="1"/>
  <c r="O13" i="22"/>
  <c r="P13" i="22" s="1"/>
  <c r="R13" i="22" s="1"/>
  <c r="P22" i="22"/>
  <c r="R22" i="22" s="1"/>
  <c r="Q13" i="22" l="1"/>
  <c r="P26" i="22"/>
  <c r="P27" i="22" s="1"/>
  <c r="O26" i="22"/>
  <c r="Q22" i="22"/>
  <c r="H20" i="23"/>
  <c r="H19" i="23"/>
  <c r="F18" i="23"/>
  <c r="H18" i="23" s="1"/>
  <c r="F15" i="23"/>
  <c r="H15" i="23" s="1"/>
  <c r="F14" i="23"/>
  <c r="H14" i="23" s="1"/>
  <c r="F13" i="23"/>
  <c r="H13" i="23" s="1"/>
  <c r="F12" i="23"/>
  <c r="H12" i="23" s="1"/>
  <c r="P28" i="22" l="1"/>
  <c r="Q26" i="22"/>
  <c r="P29" i="22" l="1"/>
  <c r="E10" i="23" s="1"/>
  <c r="F10" i="23" s="1"/>
  <c r="H10" i="23" s="1"/>
  <c r="H23" i="23" s="1"/>
  <c r="E23" i="23" l="1"/>
  <c r="F23" i="23"/>
  <c r="I23" i="23" s="1"/>
</calcChain>
</file>

<file path=xl/sharedStrings.xml><?xml version="1.0" encoding="utf-8"?>
<sst xmlns="http://schemas.openxmlformats.org/spreadsheetml/2006/main" count="122" uniqueCount="112">
  <si>
    <t>Утверждаю</t>
  </si>
  <si>
    <t>Директор ГБОУ РТ "Санаторная школа-интернат с Шуй"</t>
  </si>
  <si>
    <t>"___"____________________2022 г</t>
  </si>
  <si>
    <t>ШТАТНОЕ РАСПИСАНИЕ  детского оздоровительно лагеря "______________"  круглосуточного пребывания детей</t>
  </si>
  <si>
    <t>ГБООУ РТ "Санаторная школа-интернат с. Шуй"</t>
  </si>
  <si>
    <t>№п/п</t>
  </si>
  <si>
    <t>Наименование  должности</t>
  </si>
  <si>
    <t>кол-во ед.</t>
  </si>
  <si>
    <t>Должностные оклады</t>
  </si>
  <si>
    <t>оклады по ставкам</t>
  </si>
  <si>
    <t>Почасовая оплата</t>
  </si>
  <si>
    <t>Компенсационные выплаты</t>
  </si>
  <si>
    <t>Доплата по доведению зарплаты до МРОТ</t>
  </si>
  <si>
    <t>Всего начислено с компенсационными выплатами</t>
  </si>
  <si>
    <t>Доплата за интенсивность работы  50%</t>
  </si>
  <si>
    <t xml:space="preserve">Всего </t>
  </si>
  <si>
    <t>РСН-90%</t>
  </si>
  <si>
    <t>Итого ФОТ на 1сезон</t>
  </si>
  <si>
    <t>Итого ФОТ на 2сезона</t>
  </si>
  <si>
    <t>кол-во часов за 21дней</t>
  </si>
  <si>
    <t>сумма</t>
  </si>
  <si>
    <t>за вредные условия-12%</t>
  </si>
  <si>
    <t>за работу в ночное время-35%</t>
  </si>
  <si>
    <t>размер</t>
  </si>
  <si>
    <t>Начальник лагеря</t>
  </si>
  <si>
    <t>Старший воспитатель</t>
  </si>
  <si>
    <t>Воспитатель ( в т.ч подменные)</t>
  </si>
  <si>
    <t>Инструктор по физкультуре</t>
  </si>
  <si>
    <t>Музыкальный руководитель</t>
  </si>
  <si>
    <t>Врач педиатр</t>
  </si>
  <si>
    <t>Медсестра</t>
  </si>
  <si>
    <t>Кладовщик</t>
  </si>
  <si>
    <t>Повар</t>
  </si>
  <si>
    <t>Кухонный рабочий</t>
  </si>
  <si>
    <t>Сторож (охранник) дневной</t>
  </si>
  <si>
    <t>Уборщик служебных помещений</t>
  </si>
  <si>
    <t>Машинист по стирке белья</t>
  </si>
  <si>
    <t>ИТОГО</t>
  </si>
  <si>
    <t>На 1 сезон</t>
  </si>
  <si>
    <t>211ст.</t>
  </si>
  <si>
    <t>213ст.</t>
  </si>
  <si>
    <t>Всего:</t>
  </si>
  <si>
    <t>Утверждаю______________________</t>
  </si>
  <si>
    <t>Директор ГБООУ РТ "Санаторная школа-интернат с Шуй"</t>
  </si>
  <si>
    <t>"___"____________________2022г</t>
  </si>
  <si>
    <t>Расчет стоимости путевки детского оздоровительно-образовательного лагеря  при                 ГБООУ РТ "Санаторная школа-интернат с. Шуй"</t>
  </si>
  <si>
    <t xml:space="preserve">(1 сезон на 38детей по 21дней) </t>
  </si>
  <si>
    <t>№</t>
  </si>
  <si>
    <t>Наименование расходов</t>
  </si>
  <si>
    <t>статья</t>
  </si>
  <si>
    <t xml:space="preserve">количество дней </t>
  </si>
  <si>
    <t>Стоимость 1-го дня</t>
  </si>
  <si>
    <t>Всего</t>
  </si>
  <si>
    <t>количество детей</t>
  </si>
  <si>
    <t>стоимость 1 путевки</t>
  </si>
  <si>
    <t>Оплата труда с начислениями</t>
  </si>
  <si>
    <t>211ст, 213ст.</t>
  </si>
  <si>
    <t>приобретение продуктов питания</t>
  </si>
  <si>
    <t>340ст.</t>
  </si>
  <si>
    <t>Бутилированная вода</t>
  </si>
  <si>
    <t>Медикаменты</t>
  </si>
  <si>
    <t>Канцелярские товары</t>
  </si>
  <si>
    <t>Мягкий инвентарь ( пост. белье)</t>
  </si>
  <si>
    <t>ГСМ (выезд)</t>
  </si>
  <si>
    <t>Моющие и дез. средства, СИЗЫ</t>
  </si>
  <si>
    <t>Прочие расходы (призы, грамоты, медали)</t>
  </si>
  <si>
    <t>290ст.</t>
  </si>
  <si>
    <t>Услуги по содержанию помещений (вывоз муссора)</t>
  </si>
  <si>
    <t>225ст.</t>
  </si>
  <si>
    <t>Дезинфекция, дезинсекция, дератизация</t>
  </si>
  <si>
    <t>Медицинский осмотр</t>
  </si>
  <si>
    <t>Коммунальные услуги (электроэнергия)</t>
  </si>
  <si>
    <t>223ст.</t>
  </si>
  <si>
    <t>продукты питания -38 дет.*300руб.=10500 руб. в день*21день=235410 руб.</t>
  </si>
  <si>
    <t>Бутилированная вода 38 дет*21 дн*30 руб (1 литр)=23940 руб.</t>
  </si>
  <si>
    <t>Медикаменты 2руб*21дн*38дет=1596руб.</t>
  </si>
  <si>
    <t>Канцтовары 2руб*21дн*38дет=1596руб.</t>
  </si>
  <si>
    <t>Услуги по содержанию помещений (вывоз муссора) 4 мусорных контейнера с объемом 0,75 м.куб за 1м.куб 516,51 руб.</t>
  </si>
  <si>
    <t>призы, грамоты, медали -10руб. В день*38дет*21дн.=2100руб.</t>
  </si>
  <si>
    <t>коммунальные услуги 100 кВт/ч в день*21дн*8,65=18165</t>
  </si>
  <si>
    <t>ГСМ:18руб в день*38дет.*21дн=14364руб.</t>
  </si>
  <si>
    <t>акарицидная обработка - 1раз.-30500 руб.</t>
  </si>
  <si>
    <t>мягкий инвентарь-12руб в день*38детей*21дн=9576руб.</t>
  </si>
  <si>
    <t xml:space="preserve">С 1 января 2021г. Внесены изменения в постановление Правительства РТ от 07.12.2009г. №601в части норматива оплаты стоимости путевки </t>
  </si>
  <si>
    <t>Стоимость 1 путевки-13440руб. ( из расчета 640 руб. в день на одного ребенка*21дн)*48 детей= 645120 руб. За 1 сезон</t>
  </si>
  <si>
    <t>Приобретение моющихся средств, дез.средств, Сизы:</t>
  </si>
  <si>
    <t>Потребность на дезинфицирующие  средства и средства индивидуальной защиты:</t>
  </si>
  <si>
    <t>Наименование</t>
  </si>
  <si>
    <t>Кол-во (шт)</t>
  </si>
  <si>
    <t>Цена</t>
  </si>
  <si>
    <t xml:space="preserve"> Сумма </t>
  </si>
  <si>
    <t>Жавельон</t>
  </si>
  <si>
    <t>1 банка по 300 таблеток</t>
  </si>
  <si>
    <t>Маски (одноразовые) только для работников</t>
  </si>
  <si>
    <t>маски 26чел.*4 маска в день*21дн*10руб.=21840руб.</t>
  </si>
  <si>
    <t>Перчатки (одноразовые)</t>
  </si>
  <si>
    <t>перчатка 15руб.*26раб.*3раза*21дн=24570руб.</t>
  </si>
  <si>
    <t>Жидкое мыло с антисептиком л</t>
  </si>
  <si>
    <t>1л на 1 дозатор в туалете, столовой 1л на 5дн*5дозатор=21л*254руб.=5334руб.</t>
  </si>
  <si>
    <t>Итого:</t>
  </si>
  <si>
    <t>Наименование услуг</t>
  </si>
  <si>
    <t>Кол-во чел</t>
  </si>
  <si>
    <t>Стоимость</t>
  </si>
  <si>
    <t>лабораторные исследования на я/глист</t>
  </si>
  <si>
    <t>лабораторные исследования на диз/гр</t>
  </si>
  <si>
    <t>лабораторные исследования на стафилоккок (медсестра, врач,работники пищеблока, начальник лагеря)</t>
  </si>
  <si>
    <t>лабораторные исследования на диз/гр (медсестра, врач,работники пищеблока, начальник лагеря)</t>
  </si>
  <si>
    <t>ПЦР ковид</t>
  </si>
  <si>
    <t>Всего расходы:</t>
  </si>
  <si>
    <t xml:space="preserve"> </t>
  </si>
  <si>
    <t>Манчурек"</t>
  </si>
  <si>
    <t>(на 50 детей за 1 сезон по 21 дней)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</si>
</sst>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1" fontId="3" fillId="0" borderId="1" xfId="0" applyNumberFormat="1" applyFont="1" applyBorder="1"/>
    <xf numFmtId="1" fontId="0" fillId="0" borderId="0" xfId="0" applyNumberFormat="1"/>
    <xf numFmtId="1" fontId="2" fillId="0" borderId="0" xfId="0" applyNumberFormat="1" applyFont="1"/>
    <xf numFmtId="1" fontId="3" fillId="0" borderId="1" xfId="0" applyNumberFormat="1" applyFont="1" applyFill="1" applyBorder="1" applyAlignment="1"/>
    <xf numFmtId="0" fontId="4" fillId="0" borderId="0" xfId="0" applyFont="1"/>
    <xf numFmtId="0" fontId="6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3" fillId="0" borderId="0" xfId="0" applyFont="1" applyAlignment="1"/>
    <xf numFmtId="1" fontId="3" fillId="0" borderId="0" xfId="0" applyNumberFormat="1" applyFont="1"/>
    <xf numFmtId="0" fontId="6" fillId="0" borderId="0" xfId="0" applyFont="1"/>
    <xf numFmtId="1" fontId="6" fillId="0" borderId="0" xfId="0" applyNumberFormat="1" applyFont="1"/>
    <xf numFmtId="1" fontId="2" fillId="0" borderId="1" xfId="0" applyNumberFormat="1" applyFont="1" applyBorder="1"/>
    <xf numFmtId="0" fontId="1" fillId="0" borderId="0" xfId="0" applyFont="1"/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3" fillId="0" borderId="7" xfId="0" applyFont="1" applyFill="1" applyBorder="1" applyAlignment="1">
      <alignment wrapText="1"/>
    </xf>
    <xf numFmtId="1" fontId="3" fillId="0" borderId="7" xfId="0" applyNumberFormat="1" applyFont="1" applyFill="1" applyBorder="1" applyAlignment="1">
      <alignment wrapText="1"/>
    </xf>
    <xf numFmtId="1" fontId="3" fillId="0" borderId="0" xfId="0" applyNumberFormat="1" applyFont="1" applyFill="1" applyBorder="1"/>
    <xf numFmtId="0" fontId="3" fillId="0" borderId="6" xfId="0" applyFont="1" applyBorder="1"/>
    <xf numFmtId="0" fontId="0" fillId="0" borderId="6" xfId="0" applyFont="1" applyBorder="1"/>
    <xf numFmtId="0" fontId="0" fillId="0" borderId="6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Fill="1" applyBorder="1" applyAlignment="1">
      <alignment wrapText="1"/>
    </xf>
    <xf numFmtId="0" fontId="7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/>
    <xf numFmtId="1" fontId="0" fillId="0" borderId="0" xfId="0" applyNumberFormat="1" applyFill="1"/>
    <xf numFmtId="0" fontId="5" fillId="0" borderId="0" xfId="0" applyFont="1" applyFill="1"/>
    <xf numFmtId="0" fontId="4" fillId="0" borderId="1" xfId="0" applyFont="1" applyFill="1" applyBorder="1"/>
    <xf numFmtId="1" fontId="4" fillId="0" borderId="1" xfId="0" applyNumberFormat="1" applyFont="1" applyFill="1" applyBorder="1"/>
    <xf numFmtId="1" fontId="9" fillId="0" borderId="1" xfId="0" applyNumberFormat="1" applyFont="1" applyFill="1" applyBorder="1"/>
    <xf numFmtId="0" fontId="0" fillId="0" borderId="8" xfId="0" applyFill="1" applyBorder="1"/>
    <xf numFmtId="0" fontId="4" fillId="0" borderId="2" xfId="0" applyFont="1" applyBorder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8" xfId="0" applyFont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0" borderId="8" xfId="0" applyFill="1" applyBorder="1" applyAlignment="1">
      <alignment wrapText="1"/>
    </xf>
    <xf numFmtId="0" fontId="13" fillId="2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0"/>
  <sheetViews>
    <sheetView tabSelected="1" zoomScale="69" zoomScaleNormal="69" workbookViewId="0">
      <selection activeCell="E8" sqref="E8"/>
    </sheetView>
  </sheetViews>
  <sheetFormatPr defaultRowHeight="15" x14ac:dyDescent="0.25"/>
  <cols>
    <col min="1" max="1" width="5.7109375" customWidth="1"/>
    <col min="2" max="2" width="53.28515625" customWidth="1"/>
    <col min="3" max="3" width="9.28515625" customWidth="1"/>
    <col min="4" max="4" width="11.85546875" customWidth="1"/>
    <col min="5" max="5" width="12.7109375" customWidth="1"/>
    <col min="6" max="6" width="11.42578125" customWidth="1"/>
    <col min="7" max="7" width="12.28515625" customWidth="1"/>
    <col min="8" max="8" width="12.7109375" customWidth="1"/>
    <col min="9" max="9" width="13.28515625" customWidth="1"/>
    <col min="10" max="10" width="9.5703125" customWidth="1"/>
    <col min="11" max="11" width="11.42578125" customWidth="1"/>
    <col min="12" max="12" width="16.140625" customWidth="1"/>
    <col min="13" max="13" width="13.42578125" hidden="1" customWidth="1"/>
    <col min="14" max="14" width="13.42578125" customWidth="1"/>
    <col min="15" max="15" width="12.85546875" customWidth="1"/>
    <col min="16" max="17" width="12.5703125" customWidth="1"/>
  </cols>
  <sheetData>
    <row r="3" spans="1:19" ht="18.75" x14ac:dyDescent="0.3">
      <c r="K3" s="2" t="s">
        <v>0</v>
      </c>
    </row>
    <row r="4" spans="1:19" ht="18.75" x14ac:dyDescent="0.3">
      <c r="K4" s="2" t="s">
        <v>1</v>
      </c>
    </row>
    <row r="5" spans="1:19" ht="18.75" x14ac:dyDescent="0.3">
      <c r="K5" s="25"/>
      <c r="L5" s="26"/>
      <c r="M5" s="27"/>
      <c r="N5" s="1"/>
    </row>
    <row r="6" spans="1:19" ht="18.75" x14ac:dyDescent="0.3">
      <c r="K6" s="2" t="s">
        <v>2</v>
      </c>
    </row>
    <row r="7" spans="1:19" ht="18.75" x14ac:dyDescent="0.3">
      <c r="K7" s="2"/>
    </row>
    <row r="8" spans="1:19" ht="18.75" x14ac:dyDescent="0.3">
      <c r="B8" s="9" t="s">
        <v>3</v>
      </c>
      <c r="C8" s="2"/>
      <c r="D8" s="2"/>
      <c r="E8" s="2" t="s">
        <v>110</v>
      </c>
      <c r="F8" s="2" t="s">
        <v>109</v>
      </c>
      <c r="G8" s="2"/>
      <c r="H8" s="2"/>
      <c r="I8" s="2"/>
      <c r="J8" s="2"/>
      <c r="K8" s="2"/>
      <c r="L8" s="2"/>
      <c r="N8" s="2"/>
      <c r="O8" s="2"/>
      <c r="P8" s="3"/>
      <c r="Q8" s="3"/>
    </row>
    <row r="9" spans="1:19" ht="18.75" x14ac:dyDescent="0.3">
      <c r="B9" s="9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N9" s="2"/>
      <c r="O9" s="2"/>
      <c r="P9" s="2"/>
      <c r="Q9" s="2"/>
    </row>
    <row r="10" spans="1:19" ht="18.75" x14ac:dyDescent="0.3">
      <c r="B10" s="9" t="s">
        <v>111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N10" s="2"/>
      <c r="O10" s="2"/>
      <c r="P10" s="2"/>
      <c r="Q10" s="2"/>
    </row>
    <row r="11" spans="1:19" ht="78" customHeight="1" x14ac:dyDescent="0.3">
      <c r="A11" s="65" t="s">
        <v>5</v>
      </c>
      <c r="B11" s="73" t="s">
        <v>6</v>
      </c>
      <c r="C11" s="75" t="s">
        <v>7</v>
      </c>
      <c r="D11" s="67" t="s">
        <v>8</v>
      </c>
      <c r="E11" s="67" t="s">
        <v>9</v>
      </c>
      <c r="F11" s="77" t="s">
        <v>10</v>
      </c>
      <c r="G11" s="78"/>
      <c r="H11" s="69" t="s">
        <v>11</v>
      </c>
      <c r="I11" s="70"/>
      <c r="J11" s="69" t="s">
        <v>12</v>
      </c>
      <c r="K11" s="70"/>
      <c r="L11" s="71" t="s">
        <v>13</v>
      </c>
      <c r="M11" s="71" t="s">
        <v>14</v>
      </c>
      <c r="N11" s="67" t="s">
        <v>15</v>
      </c>
      <c r="O11" s="67" t="s">
        <v>16</v>
      </c>
      <c r="P11" s="67" t="s">
        <v>17</v>
      </c>
      <c r="Q11" s="67" t="s">
        <v>18</v>
      </c>
      <c r="R11" s="63"/>
    </row>
    <row r="12" spans="1:19" ht="75" customHeight="1" x14ac:dyDescent="0.3">
      <c r="A12" s="66"/>
      <c r="B12" s="74"/>
      <c r="C12" s="76"/>
      <c r="D12" s="68"/>
      <c r="E12" s="68"/>
      <c r="F12" s="10" t="s">
        <v>19</v>
      </c>
      <c r="G12" s="10" t="s">
        <v>20</v>
      </c>
      <c r="H12" s="11" t="s">
        <v>21</v>
      </c>
      <c r="I12" s="49" t="s">
        <v>22</v>
      </c>
      <c r="J12" s="12" t="s">
        <v>23</v>
      </c>
      <c r="K12" s="12" t="s">
        <v>20</v>
      </c>
      <c r="L12" s="72"/>
      <c r="M12" s="72"/>
      <c r="N12" s="68"/>
      <c r="O12" s="68"/>
      <c r="P12" s="68"/>
      <c r="Q12" s="68"/>
      <c r="R12" s="64"/>
    </row>
    <row r="13" spans="1:19" ht="18.75" x14ac:dyDescent="0.3">
      <c r="A13" s="28">
        <v>1</v>
      </c>
      <c r="B13" s="51" t="s">
        <v>24</v>
      </c>
      <c r="C13" s="32">
        <v>1</v>
      </c>
      <c r="D13" s="20">
        <v>14790</v>
      </c>
      <c r="E13" s="5">
        <f t="shared" ref="E13:E25" si="0">C13*D13</f>
        <v>14790</v>
      </c>
      <c r="F13" s="8">
        <f>12*21</f>
        <v>252</v>
      </c>
      <c r="G13" s="8">
        <f>E13/164.4*F13</f>
        <v>22670.802919708029</v>
      </c>
      <c r="H13" s="5"/>
      <c r="I13" s="5"/>
      <c r="J13" s="4"/>
      <c r="K13" s="5"/>
      <c r="L13" s="5">
        <f>G13+H13+I13+K13</f>
        <v>22670.802919708029</v>
      </c>
      <c r="M13" s="17"/>
      <c r="N13" s="5">
        <f>M13+L13</f>
        <v>22670.802919708029</v>
      </c>
      <c r="O13" s="5">
        <f>N13*90/100</f>
        <v>20403.722627737225</v>
      </c>
      <c r="P13" s="5">
        <f>N13+O13</f>
        <v>43074.525547445257</v>
      </c>
      <c r="Q13" s="5">
        <f>P13*2</f>
        <v>86149.051094890514</v>
      </c>
      <c r="R13" s="63">
        <f>P13/C13</f>
        <v>43074.525547445257</v>
      </c>
      <c r="S13" s="6">
        <f>32000/30*12</f>
        <v>12800</v>
      </c>
    </row>
    <row r="14" spans="1:19" ht="18.75" x14ac:dyDescent="0.3">
      <c r="A14" s="28">
        <v>2</v>
      </c>
      <c r="B14" s="51" t="s">
        <v>25</v>
      </c>
      <c r="C14" s="32">
        <v>1</v>
      </c>
      <c r="D14" s="20">
        <v>12900</v>
      </c>
      <c r="E14" s="5">
        <f t="shared" ref="E14" si="1">C14*D14</f>
        <v>12900</v>
      </c>
      <c r="F14" s="8">
        <f>12*21</f>
        <v>252</v>
      </c>
      <c r="G14" s="8">
        <f t="shared" ref="G14:G25" si="2">E14/164.4*F14</f>
        <v>19773.722627737225</v>
      </c>
      <c r="H14" s="5"/>
      <c r="I14" s="5"/>
      <c r="J14" s="4"/>
      <c r="K14" s="5"/>
      <c r="L14" s="5">
        <f t="shared" ref="L14" si="3">G14+H14+I14+K14</f>
        <v>19773.722627737225</v>
      </c>
      <c r="M14" s="17"/>
      <c r="N14" s="5">
        <f>M14+L14</f>
        <v>19773.722627737225</v>
      </c>
      <c r="O14" s="5">
        <f t="shared" ref="O14" si="4">N14*90/100</f>
        <v>17796.350364963502</v>
      </c>
      <c r="P14" s="5">
        <f t="shared" ref="P14" si="5">N14+O14</f>
        <v>37570.072992700727</v>
      </c>
      <c r="Q14" s="5">
        <f t="shared" ref="Q14" si="6">P14*2</f>
        <v>75140.145985401454</v>
      </c>
      <c r="R14" s="63">
        <f t="shared" ref="R14:R25" si="7">P14/C14</f>
        <v>37570.072992700727</v>
      </c>
    </row>
    <row r="15" spans="1:19" ht="37.5" customHeight="1" x14ac:dyDescent="0.3">
      <c r="A15" s="28">
        <v>3</v>
      </c>
      <c r="B15" s="51" t="s">
        <v>26</v>
      </c>
      <c r="C15" s="32">
        <v>4</v>
      </c>
      <c r="D15" s="20">
        <v>12700</v>
      </c>
      <c r="E15" s="5">
        <f t="shared" si="0"/>
        <v>50800</v>
      </c>
      <c r="F15" s="8">
        <f>12*21</f>
        <v>252</v>
      </c>
      <c r="G15" s="8">
        <f t="shared" si="2"/>
        <v>77868.613138686138</v>
      </c>
      <c r="H15" s="5"/>
      <c r="I15" s="5"/>
      <c r="J15" s="4"/>
      <c r="K15" s="5"/>
      <c r="L15" s="5">
        <f t="shared" ref="L15:L25" si="8">G15+H15+I15+K15</f>
        <v>77868.613138686138</v>
      </c>
      <c r="M15" s="17"/>
      <c r="N15" s="5">
        <f>M15+L15</f>
        <v>77868.613138686138</v>
      </c>
      <c r="O15" s="5">
        <f t="shared" ref="O15:O21" si="9">N15*90/100</f>
        <v>70081.751824817533</v>
      </c>
      <c r="P15" s="5">
        <f t="shared" ref="P15:P25" si="10">N15+O15</f>
        <v>147950.36496350367</v>
      </c>
      <c r="Q15" s="5">
        <f t="shared" ref="Q15:Q25" si="11">P15*2</f>
        <v>295900.72992700734</v>
      </c>
      <c r="R15" s="63">
        <f t="shared" si="7"/>
        <v>36987.591240875918</v>
      </c>
    </row>
    <row r="16" spans="1:19" ht="37.5" customHeight="1" x14ac:dyDescent="0.3">
      <c r="A16" s="28">
        <v>4</v>
      </c>
      <c r="B16" s="51" t="s">
        <v>27</v>
      </c>
      <c r="C16" s="32">
        <v>1</v>
      </c>
      <c r="D16" s="20">
        <v>12300</v>
      </c>
      <c r="E16" s="5">
        <f t="shared" ref="E16" si="12">C16*D16</f>
        <v>12300</v>
      </c>
      <c r="F16" s="8">
        <f t="shared" ref="F16:F25" si="13">12*21</f>
        <v>252</v>
      </c>
      <c r="G16" s="8">
        <f t="shared" si="2"/>
        <v>18854.014598540143</v>
      </c>
      <c r="H16" s="5"/>
      <c r="I16" s="5"/>
      <c r="J16" s="4"/>
      <c r="K16" s="5"/>
      <c r="L16" s="5">
        <f t="shared" ref="L16" si="14">G16+H16+I16+K16</f>
        <v>18854.014598540143</v>
      </c>
      <c r="M16" s="17"/>
      <c r="N16" s="5">
        <f t="shared" ref="N16" si="15">M16+L16</f>
        <v>18854.014598540143</v>
      </c>
      <c r="O16" s="5">
        <f t="shared" ref="O16" si="16">N16*90/100</f>
        <v>16968.613138686131</v>
      </c>
      <c r="P16" s="5">
        <f t="shared" ref="P16" si="17">N16+O16</f>
        <v>35822.62773722627</v>
      </c>
      <c r="Q16" s="5">
        <f t="shared" ref="Q16" si="18">P16*2</f>
        <v>71645.255474452541</v>
      </c>
      <c r="R16" s="63">
        <f t="shared" si="7"/>
        <v>35822.62773722627</v>
      </c>
    </row>
    <row r="17" spans="1:18" ht="37.5" customHeight="1" x14ac:dyDescent="0.3">
      <c r="A17" s="28">
        <v>5</v>
      </c>
      <c r="B17" s="51" t="s">
        <v>28</v>
      </c>
      <c r="C17" s="32">
        <v>1</v>
      </c>
      <c r="D17" s="20">
        <v>12300</v>
      </c>
      <c r="E17" s="5">
        <f t="shared" si="0"/>
        <v>12300</v>
      </c>
      <c r="F17" s="8">
        <f t="shared" si="13"/>
        <v>252</v>
      </c>
      <c r="G17" s="8">
        <f t="shared" si="2"/>
        <v>18854.014598540143</v>
      </c>
      <c r="H17" s="5"/>
      <c r="I17" s="5"/>
      <c r="J17" s="4"/>
      <c r="K17" s="5"/>
      <c r="L17" s="5">
        <f t="shared" si="8"/>
        <v>18854.014598540143</v>
      </c>
      <c r="M17" s="17"/>
      <c r="N17" s="5">
        <f t="shared" ref="N17:N25" si="19">M17+L17</f>
        <v>18854.014598540143</v>
      </c>
      <c r="O17" s="5">
        <f t="shared" si="9"/>
        <v>16968.613138686131</v>
      </c>
      <c r="P17" s="5">
        <f t="shared" si="10"/>
        <v>35822.62773722627</v>
      </c>
      <c r="Q17" s="5">
        <f t="shared" si="11"/>
        <v>71645.255474452541</v>
      </c>
      <c r="R17" s="63">
        <f t="shared" si="7"/>
        <v>35822.62773722627</v>
      </c>
    </row>
    <row r="18" spans="1:18" ht="18.75" x14ac:dyDescent="0.3">
      <c r="A18" s="28">
        <v>6</v>
      </c>
      <c r="B18" s="51" t="s">
        <v>29</v>
      </c>
      <c r="C18" s="32">
        <v>1</v>
      </c>
      <c r="D18" s="20">
        <v>10237</v>
      </c>
      <c r="E18" s="5">
        <f t="shared" si="0"/>
        <v>10237</v>
      </c>
      <c r="F18" s="8">
        <f>8*21</f>
        <v>168</v>
      </c>
      <c r="G18" s="8">
        <f t="shared" si="2"/>
        <v>10461.167883211678</v>
      </c>
      <c r="H18" s="5"/>
      <c r="I18" s="5"/>
      <c r="J18" s="4">
        <v>80</v>
      </c>
      <c r="K18" s="5">
        <f>(E18*J18/100)/31*21</f>
        <v>5547.793548387097</v>
      </c>
      <c r="L18" s="5">
        <f>G18+H18+I18+K18</f>
        <v>16008.961431598775</v>
      </c>
      <c r="M18" s="17"/>
      <c r="N18" s="5">
        <f t="shared" si="19"/>
        <v>16008.961431598775</v>
      </c>
      <c r="O18" s="5">
        <f t="shared" si="9"/>
        <v>14408.065288438896</v>
      </c>
      <c r="P18" s="5">
        <f t="shared" si="10"/>
        <v>30417.026720037669</v>
      </c>
      <c r="Q18" s="5">
        <f t="shared" si="11"/>
        <v>60834.053440075339</v>
      </c>
      <c r="R18" s="63">
        <f t="shared" si="7"/>
        <v>30417.026720037669</v>
      </c>
    </row>
    <row r="19" spans="1:18" ht="18.75" x14ac:dyDescent="0.3">
      <c r="A19" s="28">
        <v>7</v>
      </c>
      <c r="B19" s="51" t="s">
        <v>30</v>
      </c>
      <c r="C19" s="32">
        <v>1</v>
      </c>
      <c r="D19" s="20">
        <v>7031</v>
      </c>
      <c r="E19" s="5">
        <f t="shared" ref="E19" si="20">C19*D19</f>
        <v>7031</v>
      </c>
      <c r="F19" s="8">
        <f t="shared" si="13"/>
        <v>252</v>
      </c>
      <c r="G19" s="8">
        <f t="shared" si="2"/>
        <v>10777.445255474453</v>
      </c>
      <c r="H19" s="5"/>
      <c r="I19" s="5"/>
      <c r="J19" s="4">
        <v>70</v>
      </c>
      <c r="K19" s="5">
        <f t="shared" ref="K19" si="21">(E19*J19/100)/31*21</f>
        <v>3334.0548387096769</v>
      </c>
      <c r="L19" s="5">
        <f t="shared" ref="L19" si="22">G19+H19+I19+K19</f>
        <v>14111.50009418413</v>
      </c>
      <c r="M19" s="17"/>
      <c r="N19" s="5">
        <f t="shared" ref="N19" si="23">M19+L19</f>
        <v>14111.50009418413</v>
      </c>
      <c r="O19" s="5">
        <f t="shared" ref="O19" si="24">N19*90/100</f>
        <v>12700.350084765716</v>
      </c>
      <c r="P19" s="5">
        <f t="shared" ref="P19" si="25">N19+O19</f>
        <v>26811.850178949848</v>
      </c>
      <c r="Q19" s="5">
        <f t="shared" ref="Q19" si="26">P19*2</f>
        <v>53623.700357899696</v>
      </c>
      <c r="R19" s="63">
        <f t="shared" si="7"/>
        <v>26811.850178949848</v>
      </c>
    </row>
    <row r="20" spans="1:18" ht="18.75" x14ac:dyDescent="0.3">
      <c r="A20" s="28">
        <v>8</v>
      </c>
      <c r="B20" s="29" t="s">
        <v>31</v>
      </c>
      <c r="C20" s="32">
        <v>1</v>
      </c>
      <c r="D20" s="21">
        <f>7652*1.043*1.03</f>
        <v>8220.4670799999985</v>
      </c>
      <c r="E20" s="5">
        <f t="shared" si="0"/>
        <v>8220.4670799999985</v>
      </c>
      <c r="F20" s="8">
        <f t="shared" si="13"/>
        <v>252</v>
      </c>
      <c r="G20" s="8">
        <f t="shared" si="2"/>
        <v>12600.715962043792</v>
      </c>
      <c r="H20" s="5"/>
      <c r="I20" s="5"/>
      <c r="J20" s="4">
        <v>25</v>
      </c>
      <c r="K20" s="5">
        <f t="shared" ref="K20:K25" si="27">(E20*J20/100)/31*21</f>
        <v>1392.1758764516128</v>
      </c>
      <c r="L20" s="5">
        <f t="shared" si="8"/>
        <v>13992.891838495405</v>
      </c>
      <c r="M20" s="17"/>
      <c r="N20" s="5">
        <f t="shared" si="19"/>
        <v>13992.891838495405</v>
      </c>
      <c r="O20" s="5">
        <f t="shared" si="9"/>
        <v>12593.602654645865</v>
      </c>
      <c r="P20" s="5">
        <f t="shared" si="10"/>
        <v>26586.494493141268</v>
      </c>
      <c r="Q20" s="5">
        <f t="shared" si="11"/>
        <v>53172.988986282537</v>
      </c>
      <c r="R20" s="63">
        <f t="shared" si="7"/>
        <v>26586.494493141268</v>
      </c>
    </row>
    <row r="21" spans="1:18" ht="18.75" x14ac:dyDescent="0.3">
      <c r="A21" s="28">
        <v>9</v>
      </c>
      <c r="B21" s="51" t="s">
        <v>32</v>
      </c>
      <c r="C21" s="32">
        <v>2</v>
      </c>
      <c r="D21" s="21">
        <f>8011*1.043*1.03</f>
        <v>8606.1371899999995</v>
      </c>
      <c r="E21" s="5">
        <f t="shared" si="0"/>
        <v>17212.274379999999</v>
      </c>
      <c r="F21" s="8">
        <f t="shared" si="13"/>
        <v>252</v>
      </c>
      <c r="G21" s="8">
        <f t="shared" si="2"/>
        <v>26383.778246715323</v>
      </c>
      <c r="H21" s="5">
        <f>E21*4/100</f>
        <v>688.49097519999998</v>
      </c>
      <c r="I21" s="5"/>
      <c r="J21" s="4">
        <v>10</v>
      </c>
      <c r="K21" s="5">
        <f t="shared" si="27"/>
        <v>1165.9927805806451</v>
      </c>
      <c r="L21" s="5">
        <f t="shared" si="8"/>
        <v>28238.262002495965</v>
      </c>
      <c r="M21" s="17"/>
      <c r="N21" s="5">
        <f t="shared" si="19"/>
        <v>28238.262002495965</v>
      </c>
      <c r="O21" s="5">
        <f t="shared" si="9"/>
        <v>25414.435802246371</v>
      </c>
      <c r="P21" s="5">
        <f t="shared" si="10"/>
        <v>53652.697804742333</v>
      </c>
      <c r="Q21" s="5">
        <f t="shared" si="11"/>
        <v>107305.39560948467</v>
      </c>
      <c r="R21" s="63">
        <f t="shared" si="7"/>
        <v>26826.348902371166</v>
      </c>
    </row>
    <row r="22" spans="1:18" ht="18.75" x14ac:dyDescent="0.3">
      <c r="A22" s="28">
        <v>10</v>
      </c>
      <c r="B22" s="29" t="s">
        <v>33</v>
      </c>
      <c r="C22" s="32">
        <v>2</v>
      </c>
      <c r="D22" s="21">
        <f>7652*1.043*1.03</f>
        <v>8220.4670799999985</v>
      </c>
      <c r="E22" s="5">
        <f t="shared" si="0"/>
        <v>16440.934159999997</v>
      </c>
      <c r="F22" s="8">
        <f t="shared" si="13"/>
        <v>252</v>
      </c>
      <c r="G22" s="8">
        <f t="shared" si="2"/>
        <v>25201.431924087585</v>
      </c>
      <c r="H22" s="5">
        <f>E22*4/100</f>
        <v>657.63736639999991</v>
      </c>
      <c r="I22" s="5"/>
      <c r="J22" s="4">
        <v>20</v>
      </c>
      <c r="K22" s="5">
        <f t="shared" si="27"/>
        <v>2227.4814023225804</v>
      </c>
      <c r="L22" s="5">
        <f t="shared" si="8"/>
        <v>28086.550692810164</v>
      </c>
      <c r="M22" s="17"/>
      <c r="N22" s="5">
        <f t="shared" si="19"/>
        <v>28086.550692810164</v>
      </c>
      <c r="O22" s="5">
        <f t="shared" ref="O22:O25" si="28">N22*90/100</f>
        <v>25277.895623529148</v>
      </c>
      <c r="P22" s="5">
        <f t="shared" si="10"/>
        <v>53364.446316339308</v>
      </c>
      <c r="Q22" s="5">
        <f t="shared" si="11"/>
        <v>106728.89263267862</v>
      </c>
      <c r="R22" s="63">
        <f t="shared" si="7"/>
        <v>26682.223158169654</v>
      </c>
    </row>
    <row r="23" spans="1:18" ht="37.5" customHeight="1" x14ac:dyDescent="0.3">
      <c r="A23" s="28">
        <v>11</v>
      </c>
      <c r="B23" s="51" t="s">
        <v>34</v>
      </c>
      <c r="C23" s="32">
        <v>1</v>
      </c>
      <c r="D23" s="21">
        <f>7652*1.043*1.03</f>
        <v>8220.4670799999985</v>
      </c>
      <c r="E23" s="5">
        <f t="shared" si="0"/>
        <v>8220.4670799999985</v>
      </c>
      <c r="F23" s="8">
        <f>21*12/C23</f>
        <v>252</v>
      </c>
      <c r="G23" s="8">
        <f t="shared" si="2"/>
        <v>12600.715962043792</v>
      </c>
      <c r="H23" s="5"/>
      <c r="I23" s="8"/>
      <c r="J23" s="4">
        <v>25</v>
      </c>
      <c r="K23" s="5">
        <f t="shared" si="27"/>
        <v>1392.1758764516128</v>
      </c>
      <c r="L23" s="5">
        <f t="shared" si="8"/>
        <v>13992.891838495405</v>
      </c>
      <c r="M23" s="17"/>
      <c r="N23" s="5">
        <f t="shared" si="19"/>
        <v>13992.891838495405</v>
      </c>
      <c r="O23" s="5">
        <f>N23*90/100</f>
        <v>12593.602654645865</v>
      </c>
      <c r="P23" s="5">
        <f t="shared" si="10"/>
        <v>26586.494493141268</v>
      </c>
      <c r="Q23" s="5">
        <f t="shared" si="11"/>
        <v>53172.988986282537</v>
      </c>
      <c r="R23" s="63">
        <f t="shared" si="7"/>
        <v>26586.494493141268</v>
      </c>
    </row>
    <row r="24" spans="1:18" ht="37.5" customHeight="1" x14ac:dyDescent="0.3">
      <c r="A24" s="28">
        <v>12</v>
      </c>
      <c r="B24" s="30" t="s">
        <v>35</v>
      </c>
      <c r="C24" s="33">
        <v>1</v>
      </c>
      <c r="D24" s="20">
        <f>7652*1.043*1.03</f>
        <v>8220.4670799999985</v>
      </c>
      <c r="E24" s="5">
        <f t="shared" si="0"/>
        <v>8220.4670799999985</v>
      </c>
      <c r="F24" s="8">
        <f t="shared" si="13"/>
        <v>252</v>
      </c>
      <c r="G24" s="8">
        <f t="shared" si="2"/>
        <v>12600.715962043792</v>
      </c>
      <c r="H24" s="5">
        <f>E24*4/100</f>
        <v>328.81868319999995</v>
      </c>
      <c r="I24" s="5"/>
      <c r="J24" s="4">
        <v>20</v>
      </c>
      <c r="K24" s="5">
        <f t="shared" si="27"/>
        <v>1113.7407011612902</v>
      </c>
      <c r="L24" s="5">
        <f t="shared" si="8"/>
        <v>14043.275346405082</v>
      </c>
      <c r="M24" s="17"/>
      <c r="N24" s="5">
        <f t="shared" si="19"/>
        <v>14043.275346405082</v>
      </c>
      <c r="O24" s="5">
        <f t="shared" si="28"/>
        <v>12638.947811764574</v>
      </c>
      <c r="P24" s="5">
        <f t="shared" si="10"/>
        <v>26682.223158169654</v>
      </c>
      <c r="Q24" s="5">
        <f t="shared" si="11"/>
        <v>53364.446316339308</v>
      </c>
      <c r="R24" s="63">
        <f t="shared" si="7"/>
        <v>26682.223158169654</v>
      </c>
    </row>
    <row r="25" spans="1:18" ht="37.5" customHeight="1" x14ac:dyDescent="0.3">
      <c r="A25" s="28">
        <v>13</v>
      </c>
      <c r="B25" s="30" t="s">
        <v>36</v>
      </c>
      <c r="C25" s="33">
        <v>1</v>
      </c>
      <c r="D25" s="20">
        <f>7652*1.043*1.03</f>
        <v>8220.4670799999985</v>
      </c>
      <c r="E25" s="5">
        <f t="shared" si="0"/>
        <v>8220.4670799999985</v>
      </c>
      <c r="F25" s="8">
        <f t="shared" si="13"/>
        <v>252</v>
      </c>
      <c r="G25" s="8">
        <f t="shared" si="2"/>
        <v>12600.715962043792</v>
      </c>
      <c r="H25" s="5">
        <f>E25*4/100</f>
        <v>328.81868319999995</v>
      </c>
      <c r="I25" s="5"/>
      <c r="J25" s="4">
        <v>20</v>
      </c>
      <c r="K25" s="5">
        <f t="shared" si="27"/>
        <v>1113.7407011612902</v>
      </c>
      <c r="L25" s="5">
        <f t="shared" si="8"/>
        <v>14043.275346405082</v>
      </c>
      <c r="M25" s="17"/>
      <c r="N25" s="5">
        <f t="shared" si="19"/>
        <v>14043.275346405082</v>
      </c>
      <c r="O25" s="5">
        <f t="shared" si="28"/>
        <v>12638.947811764574</v>
      </c>
      <c r="P25" s="5">
        <f t="shared" si="10"/>
        <v>26682.223158169654</v>
      </c>
      <c r="Q25" s="5">
        <f t="shared" si="11"/>
        <v>53364.446316339308</v>
      </c>
      <c r="R25" s="63">
        <f t="shared" si="7"/>
        <v>26682.223158169654</v>
      </c>
    </row>
    <row r="26" spans="1:18" ht="18.75" x14ac:dyDescent="0.3">
      <c r="A26" s="28"/>
      <c r="B26" s="31" t="s">
        <v>37</v>
      </c>
      <c r="C26" s="34">
        <f>SUM(C13:C25)</f>
        <v>18</v>
      </c>
      <c r="D26" s="19">
        <f>SUM(D13:D25)</f>
        <v>131966.47258999999</v>
      </c>
      <c r="E26" s="19">
        <f t="shared" ref="E26:Q26" si="29">SUM(E13:E25)</f>
        <v>186893.07686</v>
      </c>
      <c r="F26" s="19">
        <f t="shared" si="29"/>
        <v>3192</v>
      </c>
      <c r="G26" s="19">
        <f t="shared" si="29"/>
        <v>281247.8550408759</v>
      </c>
      <c r="H26" s="19">
        <f t="shared" si="29"/>
        <v>2003.7657079999997</v>
      </c>
      <c r="I26" s="19">
        <f t="shared" si="29"/>
        <v>0</v>
      </c>
      <c r="J26" s="19">
        <f t="shared" si="29"/>
        <v>270</v>
      </c>
      <c r="K26" s="19">
        <f t="shared" si="29"/>
        <v>17287.155725225806</v>
      </c>
      <c r="L26" s="19">
        <f t="shared" si="29"/>
        <v>300538.77647410176</v>
      </c>
      <c r="M26" s="19">
        <f t="shared" si="29"/>
        <v>0</v>
      </c>
      <c r="N26" s="19">
        <f t="shared" si="29"/>
        <v>300538.77647410176</v>
      </c>
      <c r="O26" s="19">
        <f t="shared" si="29"/>
        <v>270484.89882669155</v>
      </c>
      <c r="P26" s="19">
        <f t="shared" si="29"/>
        <v>571023.67530079314</v>
      </c>
      <c r="Q26" s="19">
        <f t="shared" si="29"/>
        <v>1142047.3506015863</v>
      </c>
      <c r="R26" s="63"/>
    </row>
    <row r="27" spans="1:18" ht="18.75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13" t="s">
        <v>38</v>
      </c>
      <c r="O27" s="2" t="s">
        <v>39</v>
      </c>
      <c r="P27" s="14">
        <f>P26</f>
        <v>571023.67530079314</v>
      </c>
      <c r="Q27" s="14"/>
    </row>
    <row r="28" spans="1:18" ht="18.75" x14ac:dyDescent="0.3">
      <c r="B28" s="18"/>
      <c r="C28" s="2"/>
      <c r="D28" s="2"/>
      <c r="E28" s="2"/>
      <c r="F28" s="2"/>
      <c r="G28" s="2"/>
      <c r="H28" s="2"/>
      <c r="L28" s="13"/>
      <c r="N28" s="3"/>
      <c r="O28" s="3" t="s">
        <v>40</v>
      </c>
      <c r="P28" s="7">
        <f>P27*30.2/100</f>
        <v>172449.14994083953</v>
      </c>
      <c r="Q28" s="7"/>
    </row>
    <row r="29" spans="1:18" ht="18.75" x14ac:dyDescent="0.3">
      <c r="B29" s="3"/>
      <c r="C29" s="3"/>
      <c r="D29" s="3"/>
      <c r="E29" s="3"/>
      <c r="F29" s="3"/>
      <c r="G29" s="3"/>
      <c r="H29" s="3"/>
      <c r="I29" s="3"/>
      <c r="L29" s="3"/>
      <c r="N29" s="3"/>
      <c r="O29" s="15" t="s">
        <v>41</v>
      </c>
      <c r="P29" s="16">
        <f>P27+P28</f>
        <v>743472.82524163264</v>
      </c>
      <c r="Q29" s="16"/>
    </row>
    <row r="30" spans="1:18" ht="18.75" x14ac:dyDescent="0.3">
      <c r="B30" s="3"/>
      <c r="C30" s="3"/>
      <c r="D30" s="3"/>
      <c r="E30" s="3"/>
      <c r="F30" s="3"/>
      <c r="G30" s="3"/>
      <c r="H30" s="3"/>
      <c r="I30" s="3"/>
      <c r="L30" s="3"/>
      <c r="N30" s="3"/>
      <c r="O30" s="7"/>
      <c r="P30" s="3"/>
      <c r="Q30" s="3"/>
    </row>
  </sheetData>
  <mergeCells count="14">
    <mergeCell ref="A11:A12"/>
    <mergeCell ref="O11:O12"/>
    <mergeCell ref="P11:P12"/>
    <mergeCell ref="Q11:Q12"/>
    <mergeCell ref="H11:I11"/>
    <mergeCell ref="J11:K11"/>
    <mergeCell ref="L11:L12"/>
    <mergeCell ref="M11:M12"/>
    <mergeCell ref="N11:N12"/>
    <mergeCell ref="B11:B12"/>
    <mergeCell ref="C11:C12"/>
    <mergeCell ref="D11:D12"/>
    <mergeCell ref="E11:E12"/>
    <mergeCell ref="F11:G11"/>
  </mergeCells>
  <pageMargins left="0.70866141732283472" right="0.35433070866141736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opLeftCell="A17" workbookViewId="0">
      <selection activeCell="G24" sqref="G24"/>
    </sheetView>
  </sheetViews>
  <sheetFormatPr defaultRowHeight="15" x14ac:dyDescent="0.25"/>
  <cols>
    <col min="1" max="1" width="5.28515625" style="37" customWidth="1"/>
    <col min="2" max="2" width="29.140625" style="37" customWidth="1"/>
    <col min="3" max="3" width="9.140625" style="37"/>
    <col min="4" max="5" width="13" style="37" customWidth="1"/>
    <col min="6" max="6" width="20.5703125" style="37" customWidth="1"/>
    <col min="7" max="7" width="12.85546875" style="37" customWidth="1"/>
    <col min="8" max="8" width="13.42578125" style="37" customWidth="1"/>
    <col min="9" max="10" width="9.140625" style="37"/>
    <col min="11" max="11" width="11.28515625" style="37" customWidth="1"/>
  </cols>
  <sheetData>
    <row r="2" spans="1:11" ht="18.75" customHeight="1" x14ac:dyDescent="0.3">
      <c r="A2" s="35"/>
      <c r="B2" s="35"/>
      <c r="C2" s="35"/>
      <c r="D2" s="35" t="s">
        <v>42</v>
      </c>
      <c r="E2" s="35"/>
      <c r="F2" s="35"/>
      <c r="G2" s="35"/>
      <c r="H2" s="36"/>
    </row>
    <row r="3" spans="1:11" ht="18.75" x14ac:dyDescent="0.3">
      <c r="A3" s="35"/>
      <c r="B3" s="35"/>
      <c r="C3" s="35"/>
      <c r="D3" s="35" t="s">
        <v>43</v>
      </c>
      <c r="E3" s="35"/>
      <c r="F3" s="35"/>
      <c r="G3" s="35"/>
      <c r="H3" s="36"/>
    </row>
    <row r="4" spans="1:11" ht="18.75" x14ac:dyDescent="0.3">
      <c r="A4" s="35"/>
      <c r="B4" s="35"/>
      <c r="C4" s="35"/>
      <c r="D4" s="35"/>
      <c r="E4" s="35"/>
      <c r="F4" s="35"/>
      <c r="G4" s="35"/>
      <c r="H4" s="36"/>
    </row>
    <row r="5" spans="1:11" ht="18.75" x14ac:dyDescent="0.3">
      <c r="A5" s="35"/>
      <c r="B5" s="35"/>
      <c r="C5" s="35"/>
      <c r="D5" s="35" t="s">
        <v>44</v>
      </c>
      <c r="E5" s="35"/>
      <c r="F5" s="35"/>
      <c r="G5" s="35"/>
      <c r="H5" s="36"/>
    </row>
    <row r="6" spans="1:11" ht="18.75" customHeight="1" x14ac:dyDescent="0.3">
      <c r="A6" s="35"/>
      <c r="B6" s="35"/>
      <c r="C6" s="35"/>
      <c r="D6" s="35"/>
      <c r="E6" s="35"/>
      <c r="F6" s="35"/>
      <c r="G6" s="35"/>
      <c r="H6" s="36"/>
    </row>
    <row r="7" spans="1:11" ht="35.25" customHeight="1" x14ac:dyDescent="0.3">
      <c r="A7" s="79" t="s">
        <v>45</v>
      </c>
      <c r="B7" s="80"/>
      <c r="C7" s="80"/>
      <c r="D7" s="80"/>
      <c r="E7" s="80"/>
      <c r="F7" s="80"/>
      <c r="G7" s="80"/>
      <c r="H7" s="80"/>
      <c r="I7" s="50"/>
    </row>
    <row r="8" spans="1:11" ht="18.75" x14ac:dyDescent="0.3">
      <c r="A8" s="35"/>
      <c r="B8" s="35" t="s">
        <v>46</v>
      </c>
      <c r="C8" s="35"/>
      <c r="D8" s="35"/>
      <c r="E8" s="35"/>
      <c r="F8" s="35"/>
      <c r="G8" s="35"/>
      <c r="H8" s="36"/>
      <c r="J8" s="38"/>
    </row>
    <row r="9" spans="1:11" ht="56.25" x14ac:dyDescent="0.3">
      <c r="A9" s="39" t="s">
        <v>47</v>
      </c>
      <c r="B9" s="39" t="s">
        <v>48</v>
      </c>
      <c r="C9" s="39" t="s">
        <v>49</v>
      </c>
      <c r="D9" s="40" t="s">
        <v>50</v>
      </c>
      <c r="E9" s="40" t="s">
        <v>51</v>
      </c>
      <c r="F9" s="39" t="s">
        <v>52</v>
      </c>
      <c r="G9" s="40" t="s">
        <v>53</v>
      </c>
      <c r="H9" s="40" t="s">
        <v>54</v>
      </c>
      <c r="I9" s="22"/>
      <c r="J9" s="38"/>
    </row>
    <row r="10" spans="1:11" ht="37.5" x14ac:dyDescent="0.3">
      <c r="A10" s="39">
        <v>1</v>
      </c>
      <c r="B10" s="40" t="s">
        <v>55</v>
      </c>
      <c r="C10" s="40" t="s">
        <v>56</v>
      </c>
      <c r="D10" s="40">
        <v>21</v>
      </c>
      <c r="E10" s="41">
        <f>'Штатное расписание'!P29/21</f>
        <v>35403.467868649175</v>
      </c>
      <c r="F10" s="42">
        <f>E10*21</f>
        <v>743472.82524163264</v>
      </c>
      <c r="G10" s="40">
        <v>38</v>
      </c>
      <c r="H10" s="42">
        <f>F10/G10</f>
        <v>19565.074348464015</v>
      </c>
      <c r="I10" s="23"/>
      <c r="J10" s="24"/>
      <c r="K10" s="43"/>
    </row>
    <row r="11" spans="1:11" ht="36.75" customHeight="1" x14ac:dyDescent="0.3">
      <c r="A11" s="39">
        <v>2</v>
      </c>
      <c r="B11" s="57" t="s">
        <v>57</v>
      </c>
      <c r="C11" s="39" t="s">
        <v>58</v>
      </c>
      <c r="D11" s="39">
        <v>21</v>
      </c>
      <c r="E11" s="42">
        <f>295*38</f>
        <v>11210</v>
      </c>
      <c r="F11" s="39">
        <f>D11*E11</f>
        <v>235410</v>
      </c>
      <c r="G11" s="40">
        <v>38</v>
      </c>
      <c r="H11" s="42">
        <f>F11/G11</f>
        <v>6195</v>
      </c>
    </row>
    <row r="12" spans="1:11" ht="18" customHeight="1" x14ac:dyDescent="0.3">
      <c r="A12" s="39">
        <v>3</v>
      </c>
      <c r="B12" s="57" t="s">
        <v>59</v>
      </c>
      <c r="C12" s="39" t="s">
        <v>58</v>
      </c>
      <c r="D12" s="39">
        <v>21</v>
      </c>
      <c r="E12" s="42">
        <f>30*38</f>
        <v>1140</v>
      </c>
      <c r="F12" s="42">
        <f>D12*E12</f>
        <v>23940</v>
      </c>
      <c r="G12" s="40">
        <v>38</v>
      </c>
      <c r="H12" s="42">
        <f t="shared" ref="H12:H14" si="0">F12/G12</f>
        <v>630</v>
      </c>
    </row>
    <row r="13" spans="1:11" ht="18.75" x14ac:dyDescent="0.3">
      <c r="A13" s="39">
        <v>4</v>
      </c>
      <c r="B13" s="57" t="s">
        <v>60</v>
      </c>
      <c r="C13" s="39" t="s">
        <v>58</v>
      </c>
      <c r="D13" s="39">
        <v>21</v>
      </c>
      <c r="E13" s="42">
        <f>2*38</f>
        <v>76</v>
      </c>
      <c r="F13" s="39">
        <f t="shared" ref="F13" si="1">E13*21</f>
        <v>1596</v>
      </c>
      <c r="G13" s="40">
        <v>38</v>
      </c>
      <c r="H13" s="42">
        <f>F13/G13</f>
        <v>42</v>
      </c>
    </row>
    <row r="14" spans="1:11" ht="18" customHeight="1" x14ac:dyDescent="0.3">
      <c r="A14" s="39">
        <v>5</v>
      </c>
      <c r="B14" s="57" t="s">
        <v>61</v>
      </c>
      <c r="C14" s="39" t="s">
        <v>58</v>
      </c>
      <c r="D14" s="39">
        <v>21</v>
      </c>
      <c r="E14" s="42">
        <f>2*38</f>
        <v>76</v>
      </c>
      <c r="F14" s="39">
        <f t="shared" ref="F14:F16" si="2">D14*E14</f>
        <v>1596</v>
      </c>
      <c r="G14" s="40">
        <v>38</v>
      </c>
      <c r="H14" s="42">
        <f t="shared" si="0"/>
        <v>42</v>
      </c>
    </row>
    <row r="15" spans="1:11" ht="34.5" customHeight="1" x14ac:dyDescent="0.3">
      <c r="A15" s="39">
        <v>6</v>
      </c>
      <c r="B15" s="57" t="s">
        <v>62</v>
      </c>
      <c r="C15" s="39" t="s">
        <v>58</v>
      </c>
      <c r="D15" s="39">
        <v>21</v>
      </c>
      <c r="E15" s="42">
        <f>12*38</f>
        <v>456</v>
      </c>
      <c r="F15" s="39">
        <f t="shared" si="2"/>
        <v>9576</v>
      </c>
      <c r="G15" s="40">
        <v>38</v>
      </c>
      <c r="H15" s="42">
        <f>F15/G15</f>
        <v>252</v>
      </c>
    </row>
    <row r="16" spans="1:11" ht="18" customHeight="1" x14ac:dyDescent="0.3">
      <c r="A16" s="39">
        <v>7</v>
      </c>
      <c r="B16" s="57" t="s">
        <v>63</v>
      </c>
      <c r="C16" s="39" t="s">
        <v>58</v>
      </c>
      <c r="D16" s="39">
        <v>21</v>
      </c>
      <c r="E16" s="42">
        <v>684</v>
      </c>
      <c r="F16" s="42">
        <f t="shared" si="2"/>
        <v>14364</v>
      </c>
      <c r="G16" s="40">
        <v>38</v>
      </c>
      <c r="H16" s="42">
        <f>F16/G16</f>
        <v>378</v>
      </c>
      <c r="K16" s="44"/>
    </row>
    <row r="17" spans="1:11" ht="31.5" customHeight="1" x14ac:dyDescent="0.3">
      <c r="A17" s="39"/>
      <c r="B17" s="57" t="s">
        <v>64</v>
      </c>
      <c r="C17" s="39" t="s">
        <v>58</v>
      </c>
      <c r="D17" s="39">
        <v>21</v>
      </c>
      <c r="E17" s="42">
        <v>2540</v>
      </c>
      <c r="F17" s="42">
        <f>21*E17</f>
        <v>53340</v>
      </c>
      <c r="G17" s="40">
        <v>38</v>
      </c>
      <c r="H17" s="42">
        <f>F17/G17</f>
        <v>1403.6842105263158</v>
      </c>
      <c r="K17" s="44"/>
    </row>
    <row r="18" spans="1:11" ht="54" customHeight="1" x14ac:dyDescent="0.3">
      <c r="A18" s="39">
        <v>8</v>
      </c>
      <c r="B18" s="57" t="s">
        <v>65</v>
      </c>
      <c r="C18" s="39" t="s">
        <v>66</v>
      </c>
      <c r="D18" s="39">
        <v>21</v>
      </c>
      <c r="E18" s="42">
        <f>100</f>
        <v>100</v>
      </c>
      <c r="F18" s="42">
        <f t="shared" ref="F18" si="3">E18*21</f>
        <v>2100</v>
      </c>
      <c r="G18" s="40">
        <v>38</v>
      </c>
      <c r="H18" s="42">
        <f t="shared" ref="H18" si="4">F18/G18</f>
        <v>55.263157894736842</v>
      </c>
    </row>
    <row r="19" spans="1:11" ht="54" customHeight="1" x14ac:dyDescent="0.3">
      <c r="A19" s="39">
        <v>9</v>
      </c>
      <c r="B19" s="57" t="s">
        <v>67</v>
      </c>
      <c r="C19" s="39" t="s">
        <v>68</v>
      </c>
      <c r="D19" s="39">
        <v>21</v>
      </c>
      <c r="E19" s="42">
        <v>516.51</v>
      </c>
      <c r="F19" s="42">
        <f>E19*4</f>
        <v>2066.04</v>
      </c>
      <c r="G19" s="40">
        <v>38</v>
      </c>
      <c r="H19" s="42">
        <f>F19/G19</f>
        <v>54.369473684210526</v>
      </c>
    </row>
    <row r="20" spans="1:11" ht="54.75" customHeight="1" x14ac:dyDescent="0.3">
      <c r="A20" s="39">
        <v>10</v>
      </c>
      <c r="B20" s="57" t="s">
        <v>69</v>
      </c>
      <c r="C20" s="39" t="s">
        <v>68</v>
      </c>
      <c r="D20" s="39">
        <v>21</v>
      </c>
      <c r="E20" s="42">
        <v>30500</v>
      </c>
      <c r="F20" s="42">
        <v>30500</v>
      </c>
      <c r="G20" s="40">
        <v>38</v>
      </c>
      <c r="H20" s="42">
        <f>F20/G20</f>
        <v>802.63157894736844</v>
      </c>
      <c r="K20" s="44"/>
    </row>
    <row r="21" spans="1:11" ht="54.75" customHeight="1" x14ac:dyDescent="0.3">
      <c r="A21" s="39"/>
      <c r="B21" s="57" t="s">
        <v>70</v>
      </c>
      <c r="C21" s="39">
        <v>226</v>
      </c>
      <c r="D21" s="39">
        <v>21</v>
      </c>
      <c r="E21" s="42"/>
      <c r="F21" s="42">
        <v>57662</v>
      </c>
      <c r="G21" s="40">
        <v>38</v>
      </c>
      <c r="H21" s="42">
        <f>F21/G21</f>
        <v>1517.421052631579</v>
      </c>
      <c r="K21" s="44"/>
    </row>
    <row r="22" spans="1:11" ht="34.5" customHeight="1" x14ac:dyDescent="0.3">
      <c r="A22" s="39">
        <v>11</v>
      </c>
      <c r="B22" s="57" t="s">
        <v>71</v>
      </c>
      <c r="C22" s="39" t="s">
        <v>72</v>
      </c>
      <c r="D22" s="39">
        <v>21</v>
      </c>
      <c r="E22" s="42">
        <v>1644</v>
      </c>
      <c r="F22" s="42">
        <v>18165</v>
      </c>
      <c r="G22" s="40">
        <v>38</v>
      </c>
      <c r="H22" s="42">
        <f>F22/G22</f>
        <v>478.0263157894737</v>
      </c>
      <c r="K22" s="44"/>
    </row>
    <row r="23" spans="1:11" ht="18.75" x14ac:dyDescent="0.3">
      <c r="A23" s="39"/>
      <c r="B23" s="45" t="s">
        <v>41</v>
      </c>
      <c r="C23" s="39"/>
      <c r="D23" s="39">
        <v>21</v>
      </c>
      <c r="E23" s="46">
        <f>SUM(E10:E22)</f>
        <v>84345.977868649177</v>
      </c>
      <c r="F23" s="46">
        <f>SUM(F10:F22)</f>
        <v>1193787.8652416328</v>
      </c>
      <c r="G23" s="46">
        <v>38</v>
      </c>
      <c r="H23" s="47">
        <f>SUM(H10:H22)</f>
        <v>31415.470137937704</v>
      </c>
      <c r="I23" s="37">
        <f>F23/38</f>
        <v>31415.470137937704</v>
      </c>
      <c r="K23" s="43"/>
    </row>
    <row r="24" spans="1:11" ht="18.75" x14ac:dyDescent="0.3">
      <c r="A24" s="35"/>
      <c r="B24" s="35"/>
      <c r="C24" s="35"/>
      <c r="D24" s="35"/>
      <c r="E24" s="35"/>
      <c r="F24" s="35"/>
      <c r="G24" s="35"/>
      <c r="H24" s="36"/>
    </row>
    <row r="25" spans="1:11" ht="18.75" x14ac:dyDescent="0.3">
      <c r="A25" s="35"/>
      <c r="B25" s="58" t="s">
        <v>73</v>
      </c>
      <c r="I25" s="44"/>
    </row>
    <row r="26" spans="1:11" ht="18.75" x14ac:dyDescent="0.3">
      <c r="A26" s="36"/>
      <c r="B26" s="59" t="s">
        <v>74</v>
      </c>
    </row>
    <row r="27" spans="1:11" ht="18.75" x14ac:dyDescent="0.3">
      <c r="A27" s="36"/>
      <c r="B27" s="59" t="s">
        <v>75</v>
      </c>
      <c r="C27" s="36"/>
      <c r="D27" s="36"/>
      <c r="E27" s="36"/>
      <c r="F27" s="36"/>
    </row>
    <row r="28" spans="1:11" ht="18.75" x14ac:dyDescent="0.3">
      <c r="A28" s="36"/>
      <c r="B28" s="59" t="s">
        <v>76</v>
      </c>
      <c r="C28" s="36"/>
      <c r="D28" s="36"/>
      <c r="E28" s="36"/>
      <c r="F28" s="36"/>
    </row>
    <row r="29" spans="1:11" ht="18.75" x14ac:dyDescent="0.3">
      <c r="A29" s="36"/>
      <c r="B29" s="59" t="s">
        <v>77</v>
      </c>
    </row>
    <row r="30" spans="1:11" ht="18.75" x14ac:dyDescent="0.3">
      <c r="A30" s="36"/>
      <c r="B30" s="58" t="s">
        <v>78</v>
      </c>
    </row>
    <row r="31" spans="1:11" ht="18.75" customHeight="1" x14ac:dyDescent="0.3">
      <c r="A31" s="36"/>
      <c r="B31" s="35"/>
    </row>
    <row r="32" spans="1:11" ht="18.75" x14ac:dyDescent="0.3">
      <c r="A32" s="36"/>
      <c r="B32" s="58" t="s">
        <v>79</v>
      </c>
    </row>
    <row r="33" spans="1:6" ht="18.75" x14ac:dyDescent="0.3">
      <c r="A33" s="36"/>
      <c r="B33" s="58" t="s">
        <v>80</v>
      </c>
    </row>
    <row r="34" spans="1:6" ht="18.75" x14ac:dyDescent="0.3">
      <c r="B34" s="58" t="s">
        <v>81</v>
      </c>
    </row>
    <row r="35" spans="1:6" ht="18.75" x14ac:dyDescent="0.3">
      <c r="B35" s="62" t="s">
        <v>82</v>
      </c>
    </row>
    <row r="36" spans="1:6" ht="18.75" x14ac:dyDescent="0.3">
      <c r="B36" s="35" t="s">
        <v>83</v>
      </c>
    </row>
    <row r="37" spans="1:6" ht="18.75" x14ac:dyDescent="0.3">
      <c r="B37" s="35" t="s">
        <v>84</v>
      </c>
    </row>
    <row r="38" spans="1:6" ht="18.75" x14ac:dyDescent="0.3">
      <c r="B38" s="36"/>
    </row>
    <row r="40" spans="1:6" x14ac:dyDescent="0.25">
      <c r="B40" s="60" t="s">
        <v>85</v>
      </c>
      <c r="C40" s="60"/>
      <c r="D40" s="60"/>
      <c r="E40" s="60"/>
      <c r="F40" s="60"/>
    </row>
    <row r="41" spans="1:6" x14ac:dyDescent="0.25">
      <c r="B41" s="60" t="s">
        <v>86</v>
      </c>
      <c r="C41" s="60"/>
      <c r="D41" s="60"/>
      <c r="E41" s="60"/>
      <c r="F41" s="60"/>
    </row>
    <row r="42" spans="1:6" x14ac:dyDescent="0.25">
      <c r="B42" s="48" t="s">
        <v>87</v>
      </c>
      <c r="C42" s="48" t="s">
        <v>88</v>
      </c>
      <c r="D42" s="48" t="s">
        <v>89</v>
      </c>
      <c r="E42" s="48" t="s">
        <v>90</v>
      </c>
      <c r="F42" s="48"/>
    </row>
    <row r="43" spans="1:6" x14ac:dyDescent="0.25">
      <c r="B43" s="48" t="s">
        <v>91</v>
      </c>
      <c r="C43" s="48" t="s">
        <v>92</v>
      </c>
      <c r="D43" s="48">
        <v>1600</v>
      </c>
      <c r="E43" s="48">
        <v>1600</v>
      </c>
      <c r="F43" s="48"/>
    </row>
    <row r="44" spans="1:6" ht="60" x14ac:dyDescent="0.25">
      <c r="B44" s="48" t="s">
        <v>93</v>
      </c>
      <c r="C44" s="48">
        <v>2184</v>
      </c>
      <c r="D44" s="48">
        <v>10</v>
      </c>
      <c r="E44" s="48">
        <v>21840</v>
      </c>
      <c r="F44" s="61" t="s">
        <v>94</v>
      </c>
    </row>
    <row r="45" spans="1:6" ht="45" x14ac:dyDescent="0.25">
      <c r="B45" s="48" t="s">
        <v>95</v>
      </c>
      <c r="C45" s="48">
        <v>1638</v>
      </c>
      <c r="D45" s="48">
        <v>15</v>
      </c>
      <c r="E45" s="48">
        <v>24570</v>
      </c>
      <c r="F45" s="61" t="s">
        <v>96</v>
      </c>
    </row>
    <row r="46" spans="1:6" ht="75" x14ac:dyDescent="0.25">
      <c r="B46" s="48" t="s">
        <v>97</v>
      </c>
      <c r="C46" s="48">
        <v>21</v>
      </c>
      <c r="D46" s="48">
        <v>254</v>
      </c>
      <c r="E46" s="48">
        <v>5334</v>
      </c>
      <c r="F46" s="61" t="s">
        <v>98</v>
      </c>
    </row>
    <row r="47" spans="1:6" x14ac:dyDescent="0.25">
      <c r="B47" s="48" t="s">
        <v>99</v>
      </c>
      <c r="C47" s="48"/>
      <c r="D47" s="48"/>
      <c r="E47" s="48">
        <v>53344</v>
      </c>
      <c r="F47" s="48"/>
    </row>
    <row r="51" spans="2:5" ht="28.5" x14ac:dyDescent="0.25">
      <c r="B51" s="52" t="s">
        <v>100</v>
      </c>
      <c r="C51" s="53" t="s">
        <v>101</v>
      </c>
      <c r="D51" s="53" t="s">
        <v>102</v>
      </c>
      <c r="E51" s="53" t="s">
        <v>90</v>
      </c>
    </row>
    <row r="52" spans="2:5" ht="31.5" x14ac:dyDescent="0.25">
      <c r="B52" s="54" t="s">
        <v>103</v>
      </c>
      <c r="C52" s="55">
        <v>17.5</v>
      </c>
      <c r="D52" s="55">
        <v>300</v>
      </c>
      <c r="E52" s="55">
        <f>C52*D52</f>
        <v>5250</v>
      </c>
    </row>
    <row r="53" spans="2:5" ht="31.5" x14ac:dyDescent="0.25">
      <c r="B53" s="54" t="s">
        <v>104</v>
      </c>
      <c r="C53" s="55">
        <v>17.5</v>
      </c>
      <c r="D53" s="55">
        <v>700</v>
      </c>
      <c r="E53" s="55">
        <f t="shared" ref="E53:E56" si="5">C53*D53</f>
        <v>12250</v>
      </c>
    </row>
    <row r="54" spans="2:5" ht="78.75" x14ac:dyDescent="0.25">
      <c r="B54" s="54" t="s">
        <v>105</v>
      </c>
      <c r="C54" s="55">
        <v>6</v>
      </c>
      <c r="D54" s="55">
        <v>500</v>
      </c>
      <c r="E54" s="55">
        <f t="shared" si="5"/>
        <v>3000</v>
      </c>
    </row>
    <row r="55" spans="2:5" ht="78.75" x14ac:dyDescent="0.25">
      <c r="B55" s="54" t="s">
        <v>106</v>
      </c>
      <c r="C55" s="55">
        <v>6</v>
      </c>
      <c r="D55" s="55">
        <v>1600</v>
      </c>
      <c r="E55" s="55">
        <f t="shared" si="5"/>
        <v>9600</v>
      </c>
    </row>
    <row r="56" spans="2:5" ht="15.75" x14ac:dyDescent="0.25">
      <c r="B56" s="55" t="s">
        <v>107</v>
      </c>
      <c r="C56" s="55">
        <v>17.5</v>
      </c>
      <c r="D56" s="55">
        <v>1575</v>
      </c>
      <c r="E56" s="55">
        <f t="shared" si="5"/>
        <v>27562.5</v>
      </c>
    </row>
    <row r="57" spans="2:5" ht="15.75" x14ac:dyDescent="0.25">
      <c r="B57" s="55" t="s">
        <v>108</v>
      </c>
      <c r="C57" s="55"/>
      <c r="D57" s="55"/>
      <c r="E57" s="56">
        <f>SUM(E52:E56)</f>
        <v>57662.5</v>
      </c>
    </row>
  </sheetData>
  <mergeCells count="1"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Штатное расписание</vt:lpstr>
      <vt:lpstr>Расчет</vt:lpstr>
      <vt:lpstr>'Штатное расписание'!Область_печати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2022-03-15T06:56:47Z</dcterms:modified>
  <cp:category/>
  <cp:contentStatus/>
</cp:coreProperties>
</file>